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ASD\TSB\PLAN\LGA\Blacktown LGA\Blacktown\Pank 62-66\6. Approval documents\Independant Assesor pack\"/>
    </mc:Choice>
  </mc:AlternateContent>
  <xr:revisionPtr revIDLastSave="0" documentId="8_{72D39446-E0F8-4253-82D5-FA59741F0EDC}" xr6:coauthVersionLast="47" xr6:coauthVersionMax="47" xr10:uidLastSave="{00000000-0000-0000-0000-000000000000}"/>
  <workbookProtection workbookPassword="A5E9" lockStructure="1"/>
  <bookViews>
    <workbookView xWindow="-60" yWindow="-60" windowWidth="27930" windowHeight="16320" xr2:uid="{00000000-000D-0000-FFFF-FFFF00000000}"/>
  </bookViews>
  <sheets>
    <sheet name="OSD Tool" sheetId="1" r:id="rId1"/>
    <sheet name="|" sheetId="2" state="veryHidden" r:id="rId2"/>
    <sheet name="Saved Projects" sheetId="3" state="veryHidden" r:id="rId3"/>
  </sheets>
  <definedNames>
    <definedName name="DischargeLocation">'|'!$A$3:$A$4</definedName>
    <definedName name="FilterCartridges">'|'!$B$3:$B$4</definedName>
    <definedName name="OSDLocation">'|'!$A$6:$A$7</definedName>
    <definedName name="SavedProjects">'Saved Projects'!$A$1:$A$1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'OSD Tool'!$F$71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88" i="1"/>
  <c r="F71" i="1" l="1"/>
  <c r="F70" i="1" s="1"/>
  <c r="F79" i="1"/>
  <c r="F80" i="1"/>
  <c r="C63" i="1" l="1"/>
  <c r="F92" i="1" l="1"/>
  <c r="D58" i="1"/>
  <c r="D60" i="1" l="1"/>
  <c r="F89" i="1"/>
  <c r="F85" i="1" s="1"/>
  <c r="F90" i="1"/>
  <c r="F87" i="1" s="1"/>
  <c r="A4" i="2"/>
  <c r="F93" i="1"/>
  <c r="F84" i="1"/>
  <c r="F83" i="1"/>
  <c r="F82" i="1"/>
  <c r="D89" i="1" s="1"/>
  <c r="F76" i="1"/>
  <c r="F77" i="1" s="1"/>
  <c r="F75" i="1"/>
  <c r="F74" i="1"/>
  <c r="D75" i="1"/>
  <c r="D74" i="1"/>
  <c r="F73" i="1"/>
  <c r="F95" i="1" s="1"/>
  <c r="F72" i="1"/>
  <c r="F69" i="1"/>
  <c r="F68" i="1"/>
  <c r="F66" i="1"/>
  <c r="F65" i="1"/>
  <c r="D45" i="1"/>
  <c r="D43" i="1"/>
  <c r="F94" i="1" l="1"/>
  <c r="D97" i="1" s="1"/>
  <c r="D90" i="1"/>
</calcChain>
</file>

<file path=xl/sharedStrings.xml><?xml version="1.0" encoding="utf-8"?>
<sst xmlns="http://schemas.openxmlformats.org/spreadsheetml/2006/main" count="65" uniqueCount="58">
  <si>
    <t>Site Area</t>
  </si>
  <si>
    <t>OSD Discharge Location</t>
  </si>
  <si>
    <t>Discharge Location</t>
  </si>
  <si>
    <t>Council Drainage Pit</t>
  </si>
  <si>
    <t>Filter Cartridges</t>
  </si>
  <si>
    <t>Yes</t>
  </si>
  <si>
    <t>No</t>
  </si>
  <si>
    <t>RL of Bottom of OSD Tank</t>
  </si>
  <si>
    <t>RL of Bottom of OSD Storage Area</t>
  </si>
  <si>
    <t>RL of Top of OSD Storage Area</t>
  </si>
  <si>
    <t>RL of 1.5 Year ARI Orifice Centreline</t>
  </si>
  <si>
    <t>Number of Orifices</t>
  </si>
  <si>
    <t>RL of 100 Year ARI Orifice Centreline</t>
  </si>
  <si>
    <t>Length of Emergency Overflow Weir</t>
  </si>
  <si>
    <t>RL of Top of Tank</t>
  </si>
  <si>
    <t>RL of 1.5 Year ARI Overflow Weir</t>
  </si>
  <si>
    <t>RL of Emergency Overflow Weir</t>
  </si>
  <si>
    <t>RL of 1.5 Year ARI Orifice Centerline</t>
  </si>
  <si>
    <t>Minium RL of Garage Floor</t>
  </si>
  <si>
    <t>Minium RL of House Floor</t>
  </si>
  <si>
    <t>Required Storage BELOW 1.5 Year ARI Overflow Weir</t>
  </si>
  <si>
    <t>Required Storage BELOW Emergency Overflow Weir</t>
  </si>
  <si>
    <t>1.5 Year ARI Orifice Discharge</t>
  </si>
  <si>
    <t>100 Year ARI Orifice Discharge</t>
  </si>
  <si>
    <t>Number of 1.5 Year ARI Orifices</t>
  </si>
  <si>
    <t>Number of 100 Year ARI Orifices</t>
  </si>
  <si>
    <t>1.5 Year ARI Orifice Size (mm)</t>
  </si>
  <si>
    <t>100 Year ARI Orifice Size (mm)</t>
  </si>
  <si>
    <t>Maximum 1.5 Year ARI Site Discharge</t>
  </si>
  <si>
    <t>Maximum 100 Year ARI Site Discharge</t>
  </si>
  <si>
    <t>Notifications:</t>
  </si>
  <si>
    <t>Orifice Details:</t>
  </si>
  <si>
    <t>Discharge Details:</t>
  </si>
  <si>
    <t>OSD Volume:</t>
  </si>
  <si>
    <t>Reduced Levels (AHD):</t>
  </si>
  <si>
    <t>Site:</t>
  </si>
  <si>
    <t>Reference Number</t>
  </si>
  <si>
    <t>Address</t>
  </si>
  <si>
    <t>Project Title</t>
  </si>
  <si>
    <t>Project Details:</t>
  </si>
  <si>
    <t>General Site Data:</t>
  </si>
  <si>
    <t>On-Site Detention Data:</t>
  </si>
  <si>
    <t>Filter Cartridges:</t>
  </si>
  <si>
    <t>Discharge Data:</t>
  </si>
  <si>
    <t>Select project to Load or Delete:</t>
  </si>
  <si>
    <r>
      <t>Site Area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</si>
  <si>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Area Draining to OSD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</si>
  <si>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Length of Emergency Overflow Weir (m)</t>
  </si>
  <si>
    <t>OSD Location</t>
  </si>
  <si>
    <t>Above Ground</t>
  </si>
  <si>
    <t>Below Ground</t>
  </si>
  <si>
    <t>Blacktown City Council - On-site Detention Deemed to Comply Tool</t>
  </si>
  <si>
    <t>Will filter cartridges be used to manage water quality?</t>
  </si>
  <si>
    <t>Using Filter Cartridges to Manage Water Quality</t>
  </si>
  <si>
    <t>Site Area NOT Draining to OSD</t>
  </si>
  <si>
    <t>v1.9</t>
  </si>
  <si>
    <t>GV220716</t>
  </si>
  <si>
    <t>62-66 Pank Pde, BLACKTOWN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</si>
</sst>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&quot; L/s&quot;"/>
    <numFmt numFmtId="165" formatCode="0&quot; m²&quot;"/>
    <numFmt numFmtId="166" formatCode="0.00&quot; m&quot;"/>
    <numFmt numFmtId="167" formatCode="0.000"/>
    <numFmt numFmtId="168" formatCode="0.0&quot; m³&quot;"/>
    <numFmt numFmtId="169" formatCode="0.0&quot; mm&quot;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14" xfId="0" applyFill="1" applyBorder="1"/>
    <xf numFmtId="0" fontId="0" fillId="3" borderId="13" xfId="0" applyFill="1" applyBorder="1"/>
    <xf numFmtId="0" fontId="0" fillId="3" borderId="14" xfId="0" applyFill="1" applyBorder="1" applyAlignment="1">
      <alignment wrapText="1"/>
    </xf>
    <xf numFmtId="0" fontId="0" fillId="3" borderId="15" xfId="0" applyFill="1" applyBorder="1"/>
    <xf numFmtId="0" fontId="3" fillId="3" borderId="0" xfId="0" applyFont="1" applyFill="1"/>
    <xf numFmtId="0" fontId="0" fillId="3" borderId="16" xfId="0" applyFill="1" applyBorder="1"/>
    <xf numFmtId="0" fontId="0" fillId="3" borderId="0" xfId="0" applyFill="1" applyAlignment="1">
      <alignment wrapText="1"/>
    </xf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4" borderId="15" xfId="0" applyFill="1" applyBorder="1"/>
    <xf numFmtId="0" fontId="0" fillId="4" borderId="0" xfId="0" applyFill="1"/>
    <xf numFmtId="0" fontId="0" fillId="4" borderId="16" xfId="0" applyFill="1" applyBorder="1"/>
    <xf numFmtId="0" fontId="2" fillId="4" borderId="3" xfId="0" applyFont="1" applyFill="1" applyBorder="1"/>
    <xf numFmtId="0" fontId="0" fillId="4" borderId="11" xfId="0" applyFill="1" applyBorder="1"/>
    <xf numFmtId="0" fontId="0" fillId="4" borderId="4" xfId="0" applyFill="1" applyBorder="1"/>
    <xf numFmtId="0" fontId="3" fillId="4" borderId="5" xfId="0" applyFont="1" applyFill="1" applyBorder="1"/>
    <xf numFmtId="0" fontId="0" fillId="4" borderId="12" xfId="0" applyFill="1" applyBorder="1"/>
    <xf numFmtId="0" fontId="0" fillId="4" borderId="6" xfId="0" applyFill="1" applyBorder="1"/>
    <xf numFmtId="0" fontId="0" fillId="4" borderId="7" xfId="0" applyFill="1" applyBorder="1"/>
    <xf numFmtId="165" fontId="0" fillId="4" borderId="8" xfId="0" applyNumberFormat="1" applyFill="1" applyBorder="1"/>
    <xf numFmtId="0" fontId="0" fillId="4" borderId="9" xfId="0" applyFill="1" applyBorder="1"/>
    <xf numFmtId="0" fontId="0" fillId="4" borderId="1" xfId="0" applyFill="1" applyBorder="1"/>
    <xf numFmtId="165" fontId="0" fillId="4" borderId="10" xfId="0" applyNumberFormat="1" applyFill="1" applyBorder="1"/>
    <xf numFmtId="0" fontId="0" fillId="4" borderId="8" xfId="0" applyFill="1" applyBorder="1"/>
    <xf numFmtId="0" fontId="0" fillId="4" borderId="10" xfId="0" applyFill="1" applyBorder="1"/>
    <xf numFmtId="166" fontId="0" fillId="4" borderId="8" xfId="0" applyNumberFormat="1" applyFill="1" applyBorder="1"/>
    <xf numFmtId="168" fontId="0" fillId="4" borderId="8" xfId="0" applyNumberFormat="1" applyFill="1" applyBorder="1"/>
    <xf numFmtId="168" fontId="0" fillId="4" borderId="10" xfId="0" applyNumberFormat="1" applyFill="1" applyBorder="1"/>
    <xf numFmtId="0" fontId="0" fillId="4" borderId="8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164" fontId="0" fillId="4" borderId="8" xfId="0" applyNumberFormat="1" applyFill="1" applyBorder="1"/>
    <xf numFmtId="164" fontId="0" fillId="4" borderId="10" xfId="0" applyNumberFormat="1" applyFill="1" applyBorder="1"/>
    <xf numFmtId="169" fontId="0" fillId="4" borderId="8" xfId="0" applyNumberForma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165" fontId="0" fillId="2" borderId="2" xfId="0" applyNumberFormat="1" applyFill="1" applyBorder="1" applyProtection="1">
      <protection locked="0"/>
    </xf>
    <xf numFmtId="0" fontId="3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5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4" fontId="0" fillId="3" borderId="0" xfId="0" applyNumberFormat="1" applyFill="1" applyProtection="1">
      <protection locked="0"/>
    </xf>
    <xf numFmtId="167" fontId="0" fillId="3" borderId="0" xfId="0" applyNumberFormat="1" applyFill="1" applyProtection="1">
      <protection locked="0"/>
    </xf>
    <xf numFmtId="0" fontId="0" fillId="5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0" xfId="0" applyFill="1"/>
    <xf numFmtId="0" fontId="0" fillId="5" borderId="32" xfId="0" applyFill="1" applyBorder="1"/>
    <xf numFmtId="0" fontId="0" fillId="5" borderId="33" xfId="0" applyFill="1" applyBorder="1"/>
    <xf numFmtId="0" fontId="0" fillId="5" borderId="34" xfId="0" applyFill="1" applyBorder="1"/>
    <xf numFmtId="0" fontId="0" fillId="0" borderId="0" xfId="0" applyProtection="1">
      <protection hidden="1"/>
    </xf>
    <xf numFmtId="0" fontId="6" fillId="5" borderId="0" xfId="0" applyFont="1" applyFill="1"/>
    <xf numFmtId="0" fontId="9" fillId="5" borderId="35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0" fillId="6" borderId="5" xfId="0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0" fontId="5" fillId="6" borderId="6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6">
    <dxf>
      <border>
        <bottom style="thin">
          <color theme="0" tint="-0.14996795556505021"/>
        </bottom>
        <vertical/>
        <horizontal/>
      </border>
    </dxf>
    <dxf>
      <border>
        <bottom style="thin">
          <color theme="0" tint="-0.14996795556505021"/>
        </bottom>
        <vertical/>
        <horizontal/>
      </border>
    </dxf>
    <dxf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</xdr:row>
          <xdr:rowOff>38100</xdr:rowOff>
        </xdr:from>
        <xdr:to>
          <xdr:col>3</xdr:col>
          <xdr:colOff>1104900</xdr:colOff>
          <xdr:row>7</xdr:row>
          <xdr:rowOff>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Start New Project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1285875</xdr:colOff>
          <xdr:row>5</xdr:row>
          <xdr:rowOff>38100</xdr:rowOff>
        </xdr:from>
        <xdr:to>
          <xdr:col>3</xdr:col>
          <xdr:colOff>2828925</xdr:colOff>
          <xdr:row>7</xdr:row>
          <xdr:rowOff>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Save Current Project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3019425</xdr:colOff>
          <xdr:row>5</xdr:row>
          <xdr:rowOff>38100</xdr:rowOff>
        </xdr:from>
        <xdr:to>
          <xdr:col>5</xdr:col>
          <xdr:colOff>1143000</xdr:colOff>
          <xdr:row>7</xdr:row>
          <xdr:rowOff>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Current Project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5</xdr:row>
          <xdr:rowOff>38100</xdr:rowOff>
        </xdr:from>
        <xdr:to>
          <xdr:col>17</xdr:col>
          <xdr:colOff>581025</xdr:colOff>
          <xdr:row>7</xdr:row>
          <xdr:rowOff>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Project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5</xdr:row>
          <xdr:rowOff>38100</xdr:rowOff>
        </xdr:from>
        <xdr:to>
          <xdr:col>20</xdr:col>
          <xdr:colOff>514350</xdr:colOff>
          <xdr:row>7</xdr:row>
          <xdr:rowOff>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Delete Project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47625</xdr:colOff>
      <xdr:row>9</xdr:row>
      <xdr:rowOff>18515</xdr:rowOff>
    </xdr:from>
    <xdr:to>
      <xdr:col>26</xdr:col>
      <xdr:colOff>303458</xdr:colOff>
      <xdr:row>60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7400" y="1618715"/>
          <a:ext cx="11142908" cy="69252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01"/>
  <sheetViews>
    <sheetView showGridLines="0" tabSelected="1" zoomScale="89" zoomScaleNormal="89" workbookViewId="0">
      <selection activeCell="H6" sqref="H6:O7"/>
    </sheetView>
  </sheetViews>
  <sheetFormatPr defaultColWidth="9.140625" defaultRowHeight="15" x14ac:dyDescent="0.25"/>
  <cols>
    <col min="1" max="1" width="1" style="60" customWidth="1"/>
    <col min="2" max="2" width="3.140625" style="60" customWidth="1"/>
    <col min="3" max="3" width="6.42578125" style="60" customWidth="1"/>
    <col min="4" max="4" width="49.5703125" style="60" customWidth="1"/>
    <col min="5" max="5" width="1.85546875" style="60" customWidth="1"/>
    <col min="6" max="6" width="21.85546875" style="60" customWidth="1"/>
    <col min="7" max="7" width="3.42578125" style="60" customWidth="1"/>
    <col min="8" max="24" width="9.140625" style="60"/>
    <col min="25" max="25" width="3.140625" style="60" customWidth="1"/>
    <col min="26" max="26" width="4.5703125" style="60" customWidth="1"/>
    <col min="27" max="27" width="7.42578125" style="60" customWidth="1"/>
    <col min="28" max="28" width="1.42578125" style="60" customWidth="1"/>
    <col min="29" max="29" width="10.42578125" style="60" customWidth="1"/>
    <col min="30" max="16384" width="9.140625" style="60"/>
  </cols>
  <sheetData>
    <row r="1" spans="1:28" ht="5.25" customHeight="1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customFormat="1" x14ac:dyDescent="0.25">
      <c r="A2" s="14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14"/>
    </row>
    <row r="3" spans="1:28" customFormat="1" ht="15" customHeight="1" x14ac:dyDescent="0.5">
      <c r="A3" s="14"/>
      <c r="B3" s="55"/>
      <c r="C3" s="73" t="s">
        <v>51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61"/>
      <c r="Y3" s="61"/>
      <c r="Z3" s="61"/>
      <c r="AA3" s="57"/>
      <c r="AB3" s="14"/>
    </row>
    <row r="4" spans="1:28" customFormat="1" ht="15" customHeight="1" x14ac:dyDescent="0.5">
      <c r="A4" s="14"/>
      <c r="B4" s="55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61"/>
      <c r="Y4" s="61"/>
      <c r="Z4" s="61"/>
      <c r="AA4" s="57"/>
      <c r="AB4" s="14"/>
    </row>
    <row r="5" spans="1:28" customFormat="1" x14ac:dyDescent="0.25">
      <c r="A5" s="14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7"/>
      <c r="AB5" s="14"/>
    </row>
    <row r="6" spans="1:28" customFormat="1" x14ac:dyDescent="0.25">
      <c r="A6" s="14"/>
      <c r="B6" s="55"/>
      <c r="C6" s="56"/>
      <c r="D6" s="56"/>
      <c r="E6" s="56"/>
      <c r="F6" s="56"/>
      <c r="G6" s="56"/>
      <c r="H6" s="67" t="s">
        <v>44</v>
      </c>
      <c r="I6" s="68"/>
      <c r="J6" s="68"/>
      <c r="K6" s="68"/>
      <c r="L6" s="68"/>
      <c r="M6" s="68"/>
      <c r="N6" s="68"/>
      <c r="O6" s="69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7"/>
      <c r="AB6" s="14"/>
    </row>
    <row r="7" spans="1:28" customFormat="1" x14ac:dyDescent="0.25">
      <c r="A7" s="14"/>
      <c r="B7" s="55"/>
      <c r="C7" s="56"/>
      <c r="D7" s="56"/>
      <c r="E7" s="56"/>
      <c r="F7" s="56"/>
      <c r="G7" s="56"/>
      <c r="H7" s="70"/>
      <c r="I7" s="71"/>
      <c r="J7" s="71"/>
      <c r="K7" s="71"/>
      <c r="L7" s="71"/>
      <c r="M7" s="71"/>
      <c r="N7" s="71"/>
      <c r="O7" s="72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  <c r="AB7" s="14"/>
    </row>
    <row r="8" spans="1:28" customFormat="1" ht="15.75" thickBot="1" x14ac:dyDescent="0.3">
      <c r="A8" s="14"/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62" t="s">
        <v>55</v>
      </c>
    </row>
    <row r="9" spans="1:28" customFormat="1" x14ac:dyDescent="0.25">
      <c r="A9" s="1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8"/>
      <c r="AB9" s="14"/>
    </row>
    <row r="10" spans="1:28" customFormat="1" x14ac:dyDescent="0.25">
      <c r="A10" s="14"/>
      <c r="B10" s="6"/>
      <c r="C10" s="7" t="s">
        <v>39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8"/>
      <c r="AB10" s="14"/>
    </row>
    <row r="11" spans="1:28" customFormat="1" ht="5.25" customHeight="1" x14ac:dyDescent="0.25">
      <c r="A11" s="1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8"/>
      <c r="AB11" s="14"/>
    </row>
    <row r="12" spans="1:28" customFormat="1" x14ac:dyDescent="0.25">
      <c r="A12" s="14"/>
      <c r="B12" s="6"/>
      <c r="C12" s="1"/>
      <c r="D12" s="3" t="s">
        <v>38</v>
      </c>
      <c r="E12" s="4"/>
      <c r="F12" s="46" t="s">
        <v>56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8"/>
      <c r="AB12" s="14"/>
    </row>
    <row r="13" spans="1:28" customFormat="1" ht="5.25" customHeight="1" x14ac:dyDescent="0.25">
      <c r="A13" s="14"/>
      <c r="B13" s="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8"/>
      <c r="AB13" s="14"/>
    </row>
    <row r="14" spans="1:28" customFormat="1" x14ac:dyDescent="0.25">
      <c r="A14" s="14"/>
      <c r="B14" s="6"/>
      <c r="C14" s="1"/>
      <c r="D14" s="3" t="s">
        <v>37</v>
      </c>
      <c r="E14" s="4"/>
      <c r="F14" s="46" t="s">
        <v>57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8"/>
      <c r="AB14" s="14"/>
    </row>
    <row r="15" spans="1:28" customFormat="1" ht="5.25" customHeight="1" x14ac:dyDescent="0.25">
      <c r="A15" s="1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4"/>
    </row>
    <row r="16" spans="1:28" customFormat="1" x14ac:dyDescent="0.25">
      <c r="A16" s="14"/>
      <c r="B16" s="6"/>
      <c r="C16" s="1"/>
      <c r="D16" s="3" t="s">
        <v>36</v>
      </c>
      <c r="E16" s="4"/>
      <c r="F16" s="46">
        <v>220716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4"/>
    </row>
    <row r="17" spans="1:28" customFormat="1" x14ac:dyDescent="0.25">
      <c r="A17" s="14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/>
      <c r="AB17" s="14"/>
    </row>
    <row r="18" spans="1:28" customFormat="1" ht="5.25" customHeight="1" x14ac:dyDescent="0.25">
      <c r="A18" s="14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4"/>
    </row>
    <row r="19" spans="1:28" customFormat="1" x14ac:dyDescent="0.25">
      <c r="A19" s="14"/>
      <c r="B19" s="6"/>
      <c r="C19" s="7" t="s">
        <v>40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8"/>
      <c r="AB19" s="14"/>
    </row>
    <row r="20" spans="1:28" customFormat="1" ht="5.25" customHeight="1" x14ac:dyDescent="0.25">
      <c r="A20" s="1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8"/>
      <c r="AB20" s="14"/>
    </row>
    <row r="21" spans="1:28" customFormat="1" ht="17.25" x14ac:dyDescent="0.25">
      <c r="A21" s="14"/>
      <c r="B21" s="6"/>
      <c r="C21" s="1"/>
      <c r="D21" s="3" t="s">
        <v>45</v>
      </c>
      <c r="E21" s="4"/>
      <c r="F21" s="40">
        <v>1675.5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8"/>
      <c r="AB21" s="14"/>
    </row>
    <row r="22" spans="1:28" customFormat="1" ht="5.25" customHeight="1" x14ac:dyDescent="0.25">
      <c r="A22" s="14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8"/>
      <c r="AB22" s="14"/>
    </row>
    <row r="23" spans="1:28" customFormat="1" ht="17.25" x14ac:dyDescent="0.25">
      <c r="A23" s="14"/>
      <c r="B23" s="6"/>
      <c r="C23" s="1"/>
      <c r="D23" s="3" t="s">
        <v>46</v>
      </c>
      <c r="E23" s="4"/>
      <c r="F23" s="40">
        <v>1497.5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8"/>
      <c r="AB23" s="14"/>
    </row>
    <row r="24" spans="1:28" customFormat="1" x14ac:dyDescent="0.25">
      <c r="A24" s="14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8"/>
      <c r="AB24" s="14"/>
    </row>
    <row r="25" spans="1:28" customFormat="1" ht="5.25" customHeight="1" x14ac:dyDescent="0.25">
      <c r="A25" s="1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8"/>
      <c r="AB25" s="14"/>
    </row>
    <row r="26" spans="1:28" customFormat="1" x14ac:dyDescent="0.25">
      <c r="A26" s="14"/>
      <c r="B26" s="6"/>
      <c r="C26" s="7" t="s">
        <v>41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8"/>
      <c r="AB26" s="14"/>
    </row>
    <row r="27" spans="1:28" customFormat="1" ht="5.25" customHeight="1" x14ac:dyDescent="0.25">
      <c r="A27" s="14"/>
      <c r="B27" s="6"/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8"/>
      <c r="AB27" s="14"/>
    </row>
    <row r="28" spans="1:28" customFormat="1" x14ac:dyDescent="0.25">
      <c r="A28" s="14"/>
      <c r="B28" s="6"/>
      <c r="C28" s="7"/>
      <c r="D28" s="3" t="s">
        <v>48</v>
      </c>
      <c r="E28" s="4"/>
      <c r="F28" s="47" t="s">
        <v>50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8"/>
      <c r="AB28" s="14"/>
    </row>
    <row r="29" spans="1:28" customFormat="1" ht="5.25" customHeight="1" x14ac:dyDescent="0.25">
      <c r="A29" s="1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8"/>
      <c r="AB29" s="14"/>
    </row>
    <row r="30" spans="1:28" customFormat="1" x14ac:dyDescent="0.25">
      <c r="A30" s="14"/>
      <c r="B30" s="6"/>
      <c r="C30" s="1"/>
      <c r="D30" s="3" t="s">
        <v>1</v>
      </c>
      <c r="E30" s="4"/>
      <c r="F30" s="47" t="s">
        <v>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8"/>
      <c r="AB30" s="14"/>
    </row>
    <row r="31" spans="1:28" customFormat="1" ht="5.25" customHeight="1" x14ac:dyDescent="0.25">
      <c r="A31" s="1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8"/>
      <c r="AB31" s="14"/>
    </row>
    <row r="32" spans="1:28" customFormat="1" x14ac:dyDescent="0.25">
      <c r="A32" s="14"/>
      <c r="B32" s="6"/>
      <c r="C32" s="1"/>
      <c r="D32" s="3" t="s">
        <v>8</v>
      </c>
      <c r="E32" s="4"/>
      <c r="F32" s="48">
        <v>52.68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8"/>
      <c r="AB32" s="14"/>
    </row>
    <row r="33" spans="1:28" customFormat="1" ht="5.25" customHeight="1" x14ac:dyDescent="0.25">
      <c r="A33" s="14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8"/>
      <c r="AB33" s="14"/>
    </row>
    <row r="34" spans="1:28" customFormat="1" x14ac:dyDescent="0.25">
      <c r="A34" s="14"/>
      <c r="B34" s="6"/>
      <c r="C34" s="1"/>
      <c r="D34" s="3" t="s">
        <v>9</v>
      </c>
      <c r="E34" s="4"/>
      <c r="F34" s="48">
        <v>53.85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8"/>
      <c r="AB34" s="14"/>
    </row>
    <row r="35" spans="1:28" customFormat="1" ht="5.25" customHeight="1" x14ac:dyDescent="0.25">
      <c r="A35" s="1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8"/>
      <c r="AB35" s="14"/>
    </row>
    <row r="36" spans="1:28" customFormat="1" x14ac:dyDescent="0.25">
      <c r="A36" s="14"/>
      <c r="B36" s="6"/>
      <c r="C36" s="1"/>
      <c r="D36" s="3" t="s">
        <v>47</v>
      </c>
      <c r="E36" s="4"/>
      <c r="F36" s="49">
        <v>1.8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8"/>
      <c r="AB36" s="14"/>
    </row>
    <row r="37" spans="1:28" customFormat="1" x14ac:dyDescent="0.25">
      <c r="A37" s="14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8"/>
      <c r="AB37" s="14"/>
    </row>
    <row r="38" spans="1:28" customFormat="1" ht="5.25" customHeight="1" x14ac:dyDescent="0.25">
      <c r="A38" s="14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8"/>
      <c r="AB38" s="14"/>
    </row>
    <row r="39" spans="1:28" customFormat="1" x14ac:dyDescent="0.25">
      <c r="A39" s="14"/>
      <c r="B39" s="6"/>
      <c r="C39" s="7" t="s">
        <v>42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8"/>
      <c r="AB39" s="14"/>
    </row>
    <row r="40" spans="1:28" customFormat="1" ht="5.25" customHeight="1" x14ac:dyDescent="0.25">
      <c r="A40" s="1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8"/>
      <c r="AB40" s="14"/>
    </row>
    <row r="41" spans="1:28" customFormat="1" ht="15" customHeight="1" x14ac:dyDescent="0.25">
      <c r="A41" s="14"/>
      <c r="B41" s="6"/>
      <c r="C41" s="1"/>
      <c r="D41" s="5" t="s">
        <v>52</v>
      </c>
      <c r="E41" s="4"/>
      <c r="F41" s="47" t="s">
        <v>6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8"/>
      <c r="AB41" s="14"/>
    </row>
    <row r="42" spans="1:28" customFormat="1" ht="5.25" customHeight="1" x14ac:dyDescent="0.25">
      <c r="A42" s="14"/>
      <c r="B42" s="6"/>
      <c r="C42" s="1"/>
      <c r="D42" s="9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8"/>
      <c r="AB42" s="14"/>
    </row>
    <row r="43" spans="1:28" customFormat="1" x14ac:dyDescent="0.25">
      <c r="A43" s="14"/>
      <c r="B43" s="6"/>
      <c r="C43" s="1"/>
      <c r="D43" s="1" t="str">
        <f>IF(F41="Yes","Design flow from Filter Cartridges (L/s)","")</f>
        <v/>
      </c>
      <c r="E43" s="1"/>
      <c r="F43" s="5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8"/>
      <c r="AB43" s="14"/>
    </row>
    <row r="44" spans="1:28" customFormat="1" ht="5.25" customHeight="1" x14ac:dyDescent="0.25">
      <c r="A44" s="14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8"/>
      <c r="AB44" s="14"/>
    </row>
    <row r="45" spans="1:28" customFormat="1" x14ac:dyDescent="0.25">
      <c r="A45" s="14"/>
      <c r="B45" s="6"/>
      <c r="C45" s="1"/>
      <c r="D45" s="1" t="str">
        <f>IF(F41="Yes","Filter Cartridges flow with 100 Year ARI Head (L/s)","")</f>
        <v/>
      </c>
      <c r="E45" s="1"/>
      <c r="F45" s="5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8"/>
      <c r="AB45" s="14"/>
    </row>
    <row r="46" spans="1:28" customFormat="1" ht="5.25" customHeight="1" x14ac:dyDescent="0.25">
      <c r="A46" s="14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8"/>
      <c r="AB46" s="14"/>
    </row>
    <row r="47" spans="1:28" customFormat="1" x14ac:dyDescent="0.25">
      <c r="A47" s="14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8"/>
      <c r="AB47" s="14"/>
    </row>
    <row r="48" spans="1:28" customFormat="1" x14ac:dyDescent="0.25">
      <c r="A48" s="14"/>
      <c r="B48" s="6"/>
      <c r="C48" s="7" t="s">
        <v>43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8"/>
      <c r="AB48" s="14"/>
    </row>
    <row r="49" spans="1:28" customFormat="1" ht="5.25" customHeight="1" x14ac:dyDescent="0.25">
      <c r="A49" s="14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8"/>
      <c r="AB49" s="14"/>
    </row>
    <row r="50" spans="1:28" customFormat="1" x14ac:dyDescent="0.25">
      <c r="A50" s="14"/>
      <c r="B50" s="6"/>
      <c r="C50" s="1"/>
      <c r="D50" s="3" t="s">
        <v>10</v>
      </c>
      <c r="E50" s="4"/>
      <c r="F50" s="48">
        <v>52.77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8"/>
      <c r="AB50" s="14"/>
    </row>
    <row r="51" spans="1:28" customFormat="1" ht="5.25" customHeight="1" x14ac:dyDescent="0.25">
      <c r="A51" s="14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8"/>
      <c r="AB51" s="14"/>
    </row>
    <row r="52" spans="1:28" customFormat="1" x14ac:dyDescent="0.25">
      <c r="A52" s="14"/>
      <c r="B52" s="6"/>
      <c r="C52" s="1"/>
      <c r="D52" s="3" t="s">
        <v>11</v>
      </c>
      <c r="E52" s="4"/>
      <c r="F52" s="46">
        <v>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8"/>
      <c r="AB52" s="14"/>
    </row>
    <row r="53" spans="1:28" customFormat="1" ht="5.25" customHeight="1" x14ac:dyDescent="0.25">
      <c r="A53" s="14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8"/>
      <c r="AB53" s="14"/>
    </row>
    <row r="54" spans="1:28" customFormat="1" x14ac:dyDescent="0.25">
      <c r="A54" s="14"/>
      <c r="B54" s="6"/>
      <c r="C54" s="1"/>
      <c r="D54" s="3" t="s">
        <v>12</v>
      </c>
      <c r="E54" s="4"/>
      <c r="F54" s="48">
        <v>52.725000000000001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8"/>
      <c r="AB54" s="14"/>
    </row>
    <row r="55" spans="1:28" customFormat="1" ht="5.25" customHeight="1" x14ac:dyDescent="0.25">
      <c r="A55" s="14"/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8"/>
      <c r="AB55" s="14"/>
    </row>
    <row r="56" spans="1:28" customFormat="1" x14ac:dyDescent="0.25">
      <c r="A56" s="14"/>
      <c r="B56" s="6"/>
      <c r="C56" s="1"/>
      <c r="D56" s="3" t="s">
        <v>11</v>
      </c>
      <c r="E56" s="4"/>
      <c r="F56" s="46">
        <v>1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8"/>
      <c r="AB56" s="14"/>
    </row>
    <row r="57" spans="1:28" customFormat="1" ht="5.25" customHeight="1" x14ac:dyDescent="0.25">
      <c r="A57" s="14"/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8"/>
      <c r="AB57" s="14"/>
    </row>
    <row r="58" spans="1:28" customFormat="1" x14ac:dyDescent="0.25">
      <c r="A58" s="14"/>
      <c r="B58" s="6"/>
      <c r="C58" s="1"/>
      <c r="D58" s="3" t="str">
        <f>CONCATENATE("RL of Invert of Discharge to ",IF(F30="Back of Kerb","Back of Kerb","Council Drainage Pit"))</f>
        <v>RL of Invert of Discharge to Council Drainage Pit</v>
      </c>
      <c r="E58" s="4"/>
      <c r="F58" s="48">
        <v>52.145000000000003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8"/>
      <c r="AB58" s="14"/>
    </row>
    <row r="59" spans="1:28" customFormat="1" ht="5.25" customHeight="1" x14ac:dyDescent="0.25">
      <c r="A59" s="14"/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8"/>
      <c r="AB59" s="14"/>
    </row>
    <row r="60" spans="1:28" customFormat="1" x14ac:dyDescent="0.25">
      <c r="A60" s="14"/>
      <c r="B60" s="6"/>
      <c r="C60" s="1"/>
      <c r="D60" s="1" t="str">
        <f>IF(F30="Council Drainage Pit","RL of obvert of Pit outlet pipe","")</f>
        <v>RL of obvert of Pit outlet pipe</v>
      </c>
      <c r="E60" s="1"/>
      <c r="F60" s="51">
        <v>52.52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8"/>
      <c r="AB60" s="14"/>
    </row>
    <row r="61" spans="1:28" customFormat="1" ht="15.75" thickBot="1" x14ac:dyDescent="0.3">
      <c r="A61" s="14"/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2"/>
      <c r="AB61" s="14"/>
    </row>
    <row r="62" spans="1:28" customFormat="1" x14ac:dyDescent="0.25">
      <c r="A62" s="14"/>
      <c r="B62" s="13"/>
      <c r="C62" s="14"/>
      <c r="D62" s="14"/>
      <c r="E62" s="14"/>
      <c r="F62" s="14"/>
      <c r="G62" s="15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customFormat="1" x14ac:dyDescent="0.25">
      <c r="A63" s="14"/>
      <c r="B63" s="13"/>
      <c r="C63" s="16" t="str">
        <f>CONCATENATE(IF(F28="","",F28)," OSD Summary with calculated values")</f>
        <v>Below Ground OSD Summary with calculated values</v>
      </c>
      <c r="D63" s="17"/>
      <c r="E63" s="17"/>
      <c r="F63" s="18"/>
      <c r="G63" s="15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customFormat="1" x14ac:dyDescent="0.25">
      <c r="A64" s="14"/>
      <c r="B64" s="13"/>
      <c r="C64" s="19" t="s">
        <v>35</v>
      </c>
      <c r="D64" s="20"/>
      <c r="E64" s="20"/>
      <c r="F64" s="21"/>
      <c r="G64" s="15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customFormat="1" x14ac:dyDescent="0.25">
      <c r="A65" s="14"/>
      <c r="B65" s="13"/>
      <c r="C65" s="22"/>
      <c r="D65" s="14" t="s">
        <v>0</v>
      </c>
      <c r="E65" s="14"/>
      <c r="F65" s="23">
        <f>F21</f>
        <v>1675.5</v>
      </c>
      <c r="G65" s="15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customFormat="1" x14ac:dyDescent="0.25">
      <c r="A66" s="14"/>
      <c r="B66" s="13"/>
      <c r="C66" s="24"/>
      <c r="D66" s="25" t="s">
        <v>54</v>
      </c>
      <c r="E66" s="25"/>
      <c r="F66" s="26">
        <f>F21-F23</f>
        <v>178</v>
      </c>
      <c r="G66" s="15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customFormat="1" x14ac:dyDescent="0.25">
      <c r="A67" s="14"/>
      <c r="B67" s="13"/>
      <c r="C67" s="19" t="s">
        <v>34</v>
      </c>
      <c r="D67" s="20"/>
      <c r="E67" s="20"/>
      <c r="F67" s="21"/>
      <c r="G67" s="15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customFormat="1" x14ac:dyDescent="0.25">
      <c r="A68" s="14"/>
      <c r="B68" s="13"/>
      <c r="C68" s="22"/>
      <c r="D68" s="14" t="s">
        <v>14</v>
      </c>
      <c r="E68" s="14"/>
      <c r="F68" s="27">
        <f>F34</f>
        <v>53.85</v>
      </c>
      <c r="G68" s="15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customFormat="1" x14ac:dyDescent="0.25">
      <c r="A69" s="14"/>
      <c r="B69" s="13"/>
      <c r="C69" s="22"/>
      <c r="D69" s="14" t="s">
        <v>7</v>
      </c>
      <c r="E69" s="14"/>
      <c r="F69" s="27">
        <f>F32</f>
        <v>52.68</v>
      </c>
      <c r="G69" s="15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customFormat="1" x14ac:dyDescent="0.25">
      <c r="A70" s="14"/>
      <c r="B70" s="13"/>
      <c r="C70" s="22"/>
      <c r="D70" s="14" t="s">
        <v>15</v>
      </c>
      <c r="E70" s="14"/>
      <c r="F70" s="27">
        <f>IF(F71="ERROR","ERROR",MROUND((F71-F32)*(300/455)+F32,0.005))</f>
        <v>53.395000000000003</v>
      </c>
      <c r="G70" s="15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customFormat="1" x14ac:dyDescent="0.25">
      <c r="A71" s="14"/>
      <c r="B71" s="13"/>
      <c r="C71" s="22"/>
      <c r="D71" s="14" t="s">
        <v>16</v>
      </c>
      <c r="E71" s="14"/>
      <c r="F71" s="27">
        <f>IF(MROUND((F34-0.01-((0.00005779167*F23-(0.19-0.56*(1-F23/F21))*(F21/10000))/(1.70489*F36))^(2/3)),0.005)&lt;F32,"ERROR",MROUND((F34-0.01-MAX(((0.00005779167*F23-(0.19-0.56*(1-F23/F21))*(F21/10000))/(1.70489*F36))^(2/3),0.065)),0.005))</f>
        <v>53.765000000000001</v>
      </c>
      <c r="G71" s="15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customFormat="1" x14ac:dyDescent="0.25">
      <c r="A72" s="14"/>
      <c r="B72" s="13"/>
      <c r="C72" s="22"/>
      <c r="D72" s="14" t="s">
        <v>17</v>
      </c>
      <c r="E72" s="14"/>
      <c r="F72" s="27">
        <f>F50</f>
        <v>52.77</v>
      </c>
      <c r="G72" s="15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customFormat="1" x14ac:dyDescent="0.25">
      <c r="A73" s="14"/>
      <c r="B73" s="13"/>
      <c r="C73" s="22"/>
      <c r="D73" s="14" t="s">
        <v>12</v>
      </c>
      <c r="E73" s="14"/>
      <c r="F73" s="27">
        <f>F54</f>
        <v>52.725000000000001</v>
      </c>
      <c r="G73" s="15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customFormat="1" x14ac:dyDescent="0.25">
      <c r="A74" s="14"/>
      <c r="B74" s="13"/>
      <c r="C74" s="22"/>
      <c r="D74" s="14" t="str">
        <f>CONCATENATE("RL of Invert of Discharge to ",IF(F30=TRUE,"Back of Kerb","Council Drainage Pit"))</f>
        <v>RL of Invert of Discharge to Council Drainage Pit</v>
      </c>
      <c r="E74" s="14"/>
      <c r="F74" s="27">
        <f>F58</f>
        <v>52.145000000000003</v>
      </c>
      <c r="G74" s="1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customFormat="1" x14ac:dyDescent="0.25">
      <c r="A75" s="14"/>
      <c r="B75" s="13"/>
      <c r="C75" s="22"/>
      <c r="D75" s="14" t="str">
        <f>IF(F30="Council Drainage Pit","RL of obvert of Pit outlet pipe","")</f>
        <v>RL of obvert of Pit outlet pipe</v>
      </c>
      <c r="E75" s="14"/>
      <c r="F75" s="27">
        <f>F60</f>
        <v>52.52</v>
      </c>
      <c r="G75" s="15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customFormat="1" x14ac:dyDescent="0.25">
      <c r="A76" s="14"/>
      <c r="B76" s="13"/>
      <c r="C76" s="22"/>
      <c r="D76" s="14" t="s">
        <v>18</v>
      </c>
      <c r="E76" s="14"/>
      <c r="F76" s="27">
        <f>F34+0.09</f>
        <v>53.940000000000005</v>
      </c>
      <c r="G76" s="15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customFormat="1" x14ac:dyDescent="0.25">
      <c r="A77" s="14"/>
      <c r="B77" s="13"/>
      <c r="C77" s="24"/>
      <c r="D77" s="25" t="s">
        <v>19</v>
      </c>
      <c r="E77" s="25"/>
      <c r="F77" s="28">
        <f>F76+0.1</f>
        <v>54.040000000000006</v>
      </c>
      <c r="G77" s="15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customFormat="1" x14ac:dyDescent="0.25">
      <c r="A78" s="14"/>
      <c r="B78" s="13"/>
      <c r="C78" s="19" t="s">
        <v>33</v>
      </c>
      <c r="D78" s="20"/>
      <c r="E78" s="20"/>
      <c r="F78" s="21"/>
      <c r="G78" s="15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customFormat="1" x14ac:dyDescent="0.25">
      <c r="A79" s="14"/>
      <c r="B79" s="13"/>
      <c r="C79" s="22"/>
      <c r="D79" s="14" t="s">
        <v>20</v>
      </c>
      <c r="E79" s="14"/>
      <c r="F79" s="30">
        <f>300/10000*F21*(IF(AND(F30="Council Drainage Pit",F60+0.15&gt;F54),(1+ROUND((-2*10^-5*((F60+0.15-F54)/(F34-F54)*100)^4+0.0035*((F60+0.15-F54)/(F34-F54)*100)^3-0.0912*((F60+0.15-F54)/(F34-F54)*100)^2+0.9461*((F60+0.15-F54)/(F34-F54)*100)),1)/100),1))</f>
        <v>50.265000000000001</v>
      </c>
      <c r="G79" s="15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customFormat="1" x14ac:dyDescent="0.25">
      <c r="A80" s="14"/>
      <c r="B80" s="13"/>
      <c r="C80" s="24"/>
      <c r="D80" s="25" t="s">
        <v>21</v>
      </c>
      <c r="E80" s="25"/>
      <c r="F80" s="31">
        <f>455/10000*F21*(IF(AND(F30="Council Drainage Pit",F60+0.15&gt;F54),(1+ROUND((-2*10^-5*((F60+0.15-F54)/(F34-F54)*100)^4+0.0035*((F60+0.15-F54)/(F34-F54)*100)^3-0.0912*((F60+0.15-F54)/(F34-F54)*100)^2+0.9461*((F60+0.15-F54)/(F34-F54)*100)),1)/100),1))</f>
        <v>76.235249999999994</v>
      </c>
      <c r="G80" s="15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customFormat="1" x14ac:dyDescent="0.25">
      <c r="A81" s="14"/>
      <c r="B81" s="13"/>
      <c r="C81" s="19" t="s">
        <v>32</v>
      </c>
      <c r="D81" s="20"/>
      <c r="E81" s="20"/>
      <c r="F81" s="21"/>
      <c r="G81" s="15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customFormat="1" x14ac:dyDescent="0.25">
      <c r="A82" s="14"/>
      <c r="B82" s="13"/>
      <c r="C82" s="22"/>
      <c r="D82" s="14" t="s">
        <v>53</v>
      </c>
      <c r="E82" s="14"/>
      <c r="F82" s="32" t="str">
        <f>F41</f>
        <v>No</v>
      </c>
      <c r="G82" s="15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customFormat="1" x14ac:dyDescent="0.25">
      <c r="A83" s="14"/>
      <c r="B83" s="13"/>
      <c r="C83" s="22"/>
      <c r="D83" s="14" t="s">
        <v>2</v>
      </c>
      <c r="E83" s="14"/>
      <c r="F83" s="33" t="str">
        <f>F30</f>
        <v>Council Drainage Pit</v>
      </c>
      <c r="G83" s="15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customFormat="1" x14ac:dyDescent="0.25">
      <c r="A84" s="14"/>
      <c r="B84" s="13"/>
      <c r="C84" s="22"/>
      <c r="D84" s="14" t="s">
        <v>13</v>
      </c>
      <c r="E84" s="14"/>
      <c r="F84" s="29">
        <f>F36</f>
        <v>1.8</v>
      </c>
      <c r="G84" s="15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customFormat="1" x14ac:dyDescent="0.25">
      <c r="A85" s="14"/>
      <c r="B85" s="13"/>
      <c r="C85" s="22"/>
      <c r="D85" s="14" t="s">
        <v>28</v>
      </c>
      <c r="E85" s="14"/>
      <c r="F85" s="34">
        <f>IF(F86="No Orifice Needed",F89,F86+F89)</f>
        <v>5.6340000000000003</v>
      </c>
      <c r="G85" s="15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customFormat="1" x14ac:dyDescent="0.25">
      <c r="A86" s="14"/>
      <c r="B86" s="13"/>
      <c r="C86" s="22"/>
      <c r="D86" s="14" t="s">
        <v>22</v>
      </c>
      <c r="E86" s="14"/>
      <c r="F86" s="34">
        <f>IF((40-60*(1-F23/F21))*(F21/10000)-IF(F41="YES",F43,0)&lt;=0,"No Orifice Needed",(40-60*(1-F23/F21))*(F21/10000)-IF(F41="YES",F43,0))</f>
        <v>5.6340000000000003</v>
      </c>
      <c r="G86" s="15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customFormat="1" x14ac:dyDescent="0.25">
      <c r="A87" s="14"/>
      <c r="B87" s="13"/>
      <c r="C87" s="22"/>
      <c r="D87" s="14" t="s">
        <v>29</v>
      </c>
      <c r="E87" s="14"/>
      <c r="F87" s="34">
        <f>IF(F88="No Orifice Needed",F90,F88+F90)</f>
        <v>21.866500000000002</v>
      </c>
      <c r="G87" s="15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customFormat="1" x14ac:dyDescent="0.25">
      <c r="A88" s="14"/>
      <c r="B88" s="13"/>
      <c r="C88" s="22"/>
      <c r="D88" s="14" t="s">
        <v>23</v>
      </c>
      <c r="E88" s="14"/>
      <c r="F88" s="34">
        <f>IF((190-560*(1-F23/F21))*(F21/10000)-IF(F41="YES",F45,0)&lt;=0,"No Orifice Needed",(190-560*(1-F23/F21))*(F21/10000)-IF(F41="YES",F45,0))</f>
        <v>21.866500000000002</v>
      </c>
      <c r="G88" s="15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customFormat="1" x14ac:dyDescent="0.25">
      <c r="A89" s="14"/>
      <c r="B89" s="13"/>
      <c r="C89" s="22"/>
      <c r="D89" s="14" t="str">
        <f>IF(F82="Yes","Filter Cartridges design flow","")</f>
        <v/>
      </c>
      <c r="E89" s="14"/>
      <c r="F89" s="34">
        <f>F43</f>
        <v>0</v>
      </c>
      <c r="G89" s="15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customFormat="1" x14ac:dyDescent="0.25">
      <c r="A90" s="14"/>
      <c r="B90" s="13"/>
      <c r="C90" s="24"/>
      <c r="D90" s="25" t="str">
        <f>IF(F82="Yes","Filter Cartridges Discharge with Additional Head","")</f>
        <v/>
      </c>
      <c r="E90" s="25"/>
      <c r="F90" s="35">
        <f>F45</f>
        <v>0</v>
      </c>
      <c r="G90" s="15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customFormat="1" x14ac:dyDescent="0.25">
      <c r="A91" s="14"/>
      <c r="B91" s="13"/>
      <c r="C91" s="19" t="s">
        <v>31</v>
      </c>
      <c r="D91" s="20"/>
      <c r="E91" s="20"/>
      <c r="F91" s="21"/>
      <c r="G91" s="15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customFormat="1" x14ac:dyDescent="0.25">
      <c r="A92" s="14"/>
      <c r="B92" s="13"/>
      <c r="C92" s="22"/>
      <c r="D92" s="14" t="s">
        <v>24</v>
      </c>
      <c r="E92" s="14"/>
      <c r="F92" s="27">
        <f>F52</f>
        <v>1</v>
      </c>
      <c r="G92" s="15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customFormat="1" x14ac:dyDescent="0.25">
      <c r="A93" s="14"/>
      <c r="B93" s="13"/>
      <c r="C93" s="22"/>
      <c r="D93" s="14" t="s">
        <v>25</v>
      </c>
      <c r="E93" s="14"/>
      <c r="F93" s="27">
        <f>F56</f>
        <v>1</v>
      </c>
      <c r="G93" s="15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customFormat="1" x14ac:dyDescent="0.25">
      <c r="A94" s="14"/>
      <c r="B94" s="13"/>
      <c r="C94" s="22"/>
      <c r="D94" s="14" t="s">
        <v>26</v>
      </c>
      <c r="E94" s="14"/>
      <c r="F94" s="36">
        <f>IF(F86="No Orifice Needed",F86,MROUND(2*SQRT(0.001*(F86/F92)/(PI()*0.61*SQRT(19.62*(F70-F72))))*1000,0.5))</f>
        <v>58</v>
      </c>
      <c r="G94" s="15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customFormat="1" x14ac:dyDescent="0.25">
      <c r="A95" s="14"/>
      <c r="B95" s="13"/>
      <c r="C95" s="22"/>
      <c r="D95" s="14" t="s">
        <v>27</v>
      </c>
      <c r="E95" s="14"/>
      <c r="F95" s="36">
        <f>IF(F88="No Orifice Needed",F88,IF(MROUND(2*SQRT(0.001*(F88/F93)/(PI()*0.61*SQRT(19.62*(F71-F73))))*1000,0.5)&lt;25,"too small",MROUND(2*SQRT(0.001*(F88/F93)/(PI()*0.61*SQRT(19.62*(F71-F73))))*1000,0.5)))</f>
        <v>100.5</v>
      </c>
      <c r="G95" s="15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customFormat="1" x14ac:dyDescent="0.25">
      <c r="A96" s="14"/>
      <c r="B96" s="13"/>
      <c r="C96" s="41" t="s">
        <v>30</v>
      </c>
      <c r="D96" s="42"/>
      <c r="E96" s="42"/>
      <c r="F96" s="43"/>
      <c r="G96" s="15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customFormat="1" x14ac:dyDescent="0.25">
      <c r="A97" s="14"/>
      <c r="B97" s="13"/>
      <c r="C97" s="44"/>
      <c r="D97" s="63" t="str">
        <f>CONCATENATE(IF(IF(AND(F30="Council Drainage Pit",(F75+0.15)&gt;F73),"Yes","No")="Yes",CONCATENATE("Due to the Outlet Orifice being drowned by ",ROUND((F75+0.15-F73)/(F34-F73)*100,1),"% during 100 ARI event an extra ",ROUND((-2*10^-5*((F75+0.15-F73)/(F34-F73)*100)^4+0.0035*((F75+0.15-F73)/(F34-F73)*100)^3-0.0912*((F75+0.15-F73)/(F34-F73)*100)^2+0.9461*((F75+0.15-F73)/(F34-F73)*100)),1),"% of Storage volume has been added."),""),IF(AND(F95&lt;25,F93&gt;1),"The 100 Year ARI Orifice is too small consider using less orifices. ",IF(AND(F95&lt;25,F93=1),"The 100 Year ARI Orifice is too small, please consider a shallower tank, or contact council for advice","")),IF(AND(F94&lt;25,F92&gt;1),"The 1.5 Year ARI Orifice is too small consider using less orifices. ",IF(AND(F94&lt;25,F92=1),"The 1.5 Year ARI Orifice is too small, please consider a shallower tank, or contact council for advice","")),IF(F43&gt;F45,"The Filter Cartridges section is missing information please fill in all details. ",""),IF(F28="Below Ground",IF(F34-F32-0.01*SQRT((455*F21)/(10000*(F71-F32)))&lt;0.5," The dimensions of the tank are unfeasible, consider deepening the tank design to allow for a 2% internal slope.",CONCATENATE(" Access grates to be provided such that the maximum reach from any point in the tank to the neaest grate is ",(IF(F34-F32-0.01*SQRT((1592.5*F21)/(10000*(F71-F32)))&lt;0.7,"1.5m.",IF(F34-F32-0.01*SQRT((1592.5*F21)/(10000*(F71-F32)))&lt;1,"2.0m.",IF(F34-F32-0.01*SQRT((1592.5*F21)/(10000*(F71-F32)))&lt;1.5,"3.0m.",IF(F34-F32-0.01*SQRT((1592.5*F21)/(10000*(F71-F32)))&lt;2,"4.0m.","6.0m."))))))),""),IF((40-60*(1-F23/F21))*(F21/10000)-IF(F41="YES",F43,0)&lt;0,CONCATENATE(" As there is no 1.5",IF(F95="No Orifice Needed"," or 100 ",""),"year ARI orifice the under drain flow from the filter cartridges will control the minor",IF(F95="No Orifice Needed"," and major ",""),"storms."," To ensure the storage can drain the base of the tank is to be configured to direct flows through the Non-Return flap to the filter storage chamber."),""),IF(F94="No Orifice Needed","",IF((F73-F95/2000)&gt;(F72-F94/2000)," Please adjust your Orifice Centreline RLs as currently they are causing ponding","")),"")</f>
        <v xml:space="preserve"> Access grates to be provided such that the maximum reach from any point in the tank to the neaest grate is 3.0m.</v>
      </c>
      <c r="E97" s="63"/>
      <c r="F97" s="64"/>
      <c r="G97" s="15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customFormat="1" x14ac:dyDescent="0.25">
      <c r="A98" s="14"/>
      <c r="B98" s="13"/>
      <c r="C98" s="44"/>
      <c r="D98" s="63"/>
      <c r="E98" s="63"/>
      <c r="F98" s="64"/>
      <c r="G98" s="15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customFormat="1" ht="96.75" customHeight="1" x14ac:dyDescent="0.25">
      <c r="A99" s="14"/>
      <c r="B99" s="13"/>
      <c r="C99" s="45"/>
      <c r="D99" s="65"/>
      <c r="E99" s="65"/>
      <c r="F99" s="66"/>
      <c r="G99" s="15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customFormat="1" ht="15.75" thickBot="1" x14ac:dyDescent="0.3">
      <c r="A100" s="14"/>
      <c r="B100" s="37"/>
      <c r="C100" s="38"/>
      <c r="D100" s="38"/>
      <c r="E100" s="38"/>
      <c r="F100" s="38"/>
      <c r="G100" s="39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customFormat="1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</sheetData>
  <sheetProtection password="A5E9" sheet="1" objects="1" scenarios="1" selectLockedCells="1"/>
  <mergeCells count="3">
    <mergeCell ref="D97:F99"/>
    <mergeCell ref="H6:O7"/>
    <mergeCell ref="C3:W4"/>
  </mergeCells>
  <conditionalFormatting sqref="F89">
    <cfRule type="cellIs" dxfId="5" priority="6" operator="equal">
      <formula>0</formula>
    </cfRule>
  </conditionalFormatting>
  <conditionalFormatting sqref="F90">
    <cfRule type="cellIs" dxfId="4" priority="5" operator="equal">
      <formula>0</formula>
    </cfRule>
  </conditionalFormatting>
  <conditionalFormatting sqref="F43 F45">
    <cfRule type="expression" dxfId="3" priority="4">
      <formula>$F$41="Yes"</formula>
    </cfRule>
  </conditionalFormatting>
  <conditionalFormatting sqref="F60">
    <cfRule type="expression" dxfId="2" priority="3">
      <formula>$D$60="RL of obvert of Pit outlet pipe"</formula>
    </cfRule>
  </conditionalFormatting>
  <conditionalFormatting sqref="D60:E60">
    <cfRule type="expression" dxfId="1" priority="2">
      <formula>$F$30="Council Drainage Pit"</formula>
    </cfRule>
  </conditionalFormatting>
  <conditionalFormatting sqref="D45:E45 D43:E43">
    <cfRule type="expression" dxfId="0" priority="1">
      <formula>$F$41="Yes"</formula>
    </cfRule>
  </conditionalFormatting>
  <dataValidations xWindow="632" yWindow="510" count="17">
    <dataValidation type="list" allowBlank="1" showInputMessage="1" showErrorMessage="1" promptTitle="OSD Discharge Location" prompt="Please select an On Site Detention discharge location" sqref="F30" xr:uid="{00000000-0002-0000-0000-000000000000}">
      <formula1>DischargeLocation</formula1>
    </dataValidation>
    <dataValidation type="list" allowBlank="1" showInputMessage="1" showErrorMessage="1" promptTitle="Filter Cartridges" prompt="Will Filter Cartridges such as Spel Filter or Storm Filter be used to manage water quality?" sqref="F41" xr:uid="{00000000-0002-0000-0000-000001000000}">
      <formula1>FilterCartridges</formula1>
    </dataValidation>
    <dataValidation type="decimal" errorStyle="warning" allowBlank="1" showInputMessage="1" showErrorMessage="1" errorTitle="Warning" error="The value entered seems unlikely please check your value" promptTitle="Bottom of OSD Tank" prompt="This is the average bottom level of the storage base allowing for slope.   Refer to ⑧ in image provided._x000a_Allow for minimum a slope of 1% for above ground storage and 2% for underground tanks." sqref="F32" xr:uid="{00000000-0002-0000-0000-000002000000}">
      <formula1>10</formula1>
      <formula2>100</formula2>
    </dataValidation>
    <dataValidation type="decimal" allowBlank="1" showInputMessage="1" showErrorMessage="1" errorTitle="Invalid" error="Please enter an Area between 85% and 100% of the Site Area" promptTitle="Area Draining to OSD" prompt="Please enter the Site Area that is draining to the OSD _x000a_Must be no less then 85% of the Site Area" sqref="F23" xr:uid="{00000000-0002-0000-0000-000003000000}">
      <formula1>F21*0.85</formula1>
      <formula2>F21</formula2>
    </dataValidation>
    <dataValidation type="decimal" errorStyle="warning" allowBlank="1" showInputMessage="1" showErrorMessage="1" errorTitle="Warning" error="Please check your levels as these seam unlikely." promptTitle="Top of OSD Storage Area" prompt="Please enter the top of the OSD Stroage Area_x000a_Refer to ⑦ in image provided" sqref="F35" xr:uid="{00000000-0002-0000-0000-000004000000}">
      <formula1>F33+0.5</formula1>
      <formula2>F33+10</formula2>
    </dataValidation>
    <dataValidation type="decimal" operator="greaterThan" allowBlank="1" showInputMessage="1" showErrorMessage="1" errorTitle="Invalid" error="Answer must be greater than 0L/s" promptTitle="Filter Cartridge Flow" prompt="Please enter the total Design Flow of all the filter cartridges in the system at the standard weir height." sqref="F43" xr:uid="{00000000-0002-0000-0000-000005000000}">
      <formula1>0</formula1>
    </dataValidation>
    <dataValidation type="decimal" operator="greaterThan" allowBlank="1" showInputMessage="1" showErrorMessage="1" errorTitle="Invalid" error="The area you have entered is outside the scope of this OSD Calculator_x000a_Area must be greater than 0m²" promptTitle="Site Area                       " prompt="Please enter the Site Area" sqref="F21" xr:uid="{00000000-0002-0000-0000-000006000000}">
      <formula1>0</formula1>
    </dataValidation>
    <dataValidation type="decimal" operator="greaterThan" allowBlank="1" showInputMessage="1" showErrorMessage="1" errorTitle="Flow" error="This value must be greater then the Design Flow" promptTitle="Filter Cartridge Flow" prompt="Please enter the flow through the cartridges for thre additional Head Pressure of the 100 year ARI water level._x000a_Please refer to manufacturer's specifications for this value." sqref="F45" xr:uid="{00000000-0002-0000-0000-000007000000}">
      <formula1>F43</formula1>
    </dataValidation>
    <dataValidation type="whole" operator="greaterThan" allowBlank="1" showInputMessage="1" showErrorMessage="1" errorTitle="Error" error="Must be greater than 0" promptTitle="Number of Orifices" prompt="Please enter the number of Orifices to be used" sqref="F56:F57 F59" xr:uid="{00000000-0002-0000-0000-000008000000}">
      <formula1>0</formula1>
    </dataValidation>
    <dataValidation type="whole" operator="greaterThanOrEqual" allowBlank="1" showInputMessage="1" showErrorMessage="1" errorTitle="Error" error="Must not be less than 0" promptTitle="Number of Orifices" prompt="Please enter the number of Orifices to be used" sqref="F52" xr:uid="{00000000-0002-0000-0000-000009000000}">
      <formula1>0</formula1>
    </dataValidation>
    <dataValidation type="decimal" errorStyle="warning" operator="lessThan" allowBlank="1" showInputMessage="1" showErrorMessage="1" errorTitle="Orifice Centreline" error="Unless you expect a rather large orifice, this value may result in perment ponding within the OSD storage area." promptTitle="1.5 Year Orifice Centreline     " prompt="Please enter the 1.5 year Orifice Centreline_x000a_Refer to ① in the image provided" sqref="F50" xr:uid="{00000000-0002-0000-0000-00000A000000}">
      <formula1>F32+0.1</formula1>
    </dataValidation>
    <dataValidation type="decimal" errorStyle="warning" operator="lessThanOrEqual" allowBlank="1" showInputMessage="1" showErrorMessage="1" errorTitle="Orifice Size" error="The location of this orifice appears to be rather high - please consider adjusting the value." promptTitle="100 year Orifice Centreline" prompt="Please enter the 1.5 year Orifice Centreline_x000a_Refer to ②  in the image provided" sqref="F54" xr:uid="{00000000-0002-0000-0000-00000B000000}">
      <formula1>F50+0.1</formula1>
    </dataValidation>
    <dataValidation type="decimal" allowBlank="1" showInputMessage="1" showErrorMessage="1" errorTitle="Invalid" error="This Value seesms unattainable please check your numbers" promptTitle="Length - Emergency Overflow Weir" prompt="Please enter the length of the emergency overflow weir." sqref="F36" xr:uid="{00000000-0002-0000-0000-00000C000000}">
      <formula1>0</formula1>
      <formula2>F21^(1/3.5)</formula2>
    </dataValidation>
    <dataValidation type="decimal" operator="greaterThan" allowBlank="1" showInputMessage="1" showErrorMessage="1" errorTitle="Error" error="Must be greater than 0" promptTitle="Discharge to Council Pit" prompt="Please enter the RL of the Invert of the discharge pipe into council drainage pit" sqref="F58" xr:uid="{00000000-0002-0000-0000-00000D000000}">
      <formula1>0</formula1>
    </dataValidation>
    <dataValidation type="list" allowBlank="1" showInputMessage="1" showErrorMessage="1" sqref="H6:O7" xr:uid="{00000000-0002-0000-0000-00000E000000}">
      <formula1>SavedProjects</formula1>
    </dataValidation>
    <dataValidation type="list" allowBlank="1" showInputMessage="1" showErrorMessage="1" promptTitle="OSD Location" prompt="Please select if the On Site Detention is Above or Below Ground. _x000a__x000a_Refer to the diagram to the right." sqref="F28" xr:uid="{00000000-0002-0000-0000-00000F000000}">
      <formula1>OSDLocation</formula1>
    </dataValidation>
    <dataValidation type="decimal" errorStyle="warning" allowBlank="1" showInputMessage="1" showErrorMessage="1" errorTitle="Warning" error="Please check your levels as these seem unlikely." promptTitle="Top of OSD Storage Area" prompt="Please enter the top of the OSD Stroage Area_x000a_Refer to ⑦ in image provided" sqref="F34" xr:uid="{00000000-0002-0000-0000-000010000000}">
      <formula1>F32+0.5</formula1>
      <formula2>F32+10</formula2>
    </dataValidation>
  </dataValidations>
  <pageMargins left="0.7" right="0.7" top="0.75" bottom="0.75" header="0.3" footer="0.3"/>
  <pageSetup paperSize="9" orientation="portrait" horizontalDpi="200" verticalDpi="200" r:id="rId1"/>
  <ignoredErrors>
    <ignoredError sqref="F9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Button 21">
              <controlPr defaultSize="0" print="0" autoFill="0" autoPict="0" macro="[0]!NewProject">
                <anchor moveWithCells="1" sizeWithCells="1">
                  <from>
                    <xdr:col>1</xdr:col>
                    <xdr:colOff>200025</xdr:colOff>
                    <xdr:row>5</xdr:row>
                    <xdr:rowOff>38100</xdr:rowOff>
                  </from>
                  <to>
                    <xdr:col>3</xdr:col>
                    <xdr:colOff>1104900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Button 24">
              <controlPr defaultSize="0" print="0" autoFill="0" autoPict="0" macro="[0]!SaveProject">
                <anchor moveWithCells="1" sizeWithCells="1">
                  <from>
                    <xdr:col>3</xdr:col>
                    <xdr:colOff>1285875</xdr:colOff>
                    <xdr:row>5</xdr:row>
                    <xdr:rowOff>38100</xdr:rowOff>
                  </from>
                  <to>
                    <xdr:col>3</xdr:col>
                    <xdr:colOff>2828925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Button 25">
              <controlPr defaultSize="0" print="0" autoFill="0" autoPict="0" macro="[0]!PrintSummary">
                <anchor moveWithCells="1" sizeWithCells="1">
                  <from>
                    <xdr:col>3</xdr:col>
                    <xdr:colOff>3019425</xdr:colOff>
                    <xdr:row>5</xdr:row>
                    <xdr:rowOff>38100</xdr:rowOff>
                  </from>
                  <to>
                    <xdr:col>5</xdr:col>
                    <xdr:colOff>1143000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Button 28">
              <controlPr defaultSize="0" print="0" autoFill="0" autoPict="0" macro="[0]!LoadProject">
                <anchor moveWithCells="1" sizeWithCells="1">
                  <from>
                    <xdr:col>15</xdr:col>
                    <xdr:colOff>257175</xdr:colOff>
                    <xdr:row>5</xdr:row>
                    <xdr:rowOff>38100</xdr:rowOff>
                  </from>
                  <to>
                    <xdr:col>17</xdr:col>
                    <xdr:colOff>581025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Button 29">
              <controlPr defaultSize="0" print="0" autoFill="0" autoPict="0" macro="[0]!DeleteProject">
                <anchor moveWithCells="1" sizeWithCells="1">
                  <from>
                    <xdr:col>18</xdr:col>
                    <xdr:colOff>190500</xdr:colOff>
                    <xdr:row>5</xdr:row>
                    <xdr:rowOff>38100</xdr:rowOff>
                  </from>
                  <to>
                    <xdr:col>20</xdr:col>
                    <xdr:colOff>514350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7"/>
  <sheetViews>
    <sheetView workbookViewId="0">
      <selection activeCell="B7" sqref="B7"/>
    </sheetView>
  </sheetViews>
  <sheetFormatPr defaultRowHeight="15" x14ac:dyDescent="0.25"/>
  <cols>
    <col min="1" max="1" width="19" bestFit="1" customWidth="1"/>
  </cols>
  <sheetData>
    <row r="1" spans="1:2" x14ac:dyDescent="0.25">
      <c r="A1" t="s">
        <v>2</v>
      </c>
      <c r="B1" t="s">
        <v>4</v>
      </c>
    </row>
    <row r="3" spans="1:2" x14ac:dyDescent="0.25">
      <c r="A3" t="s">
        <v>3</v>
      </c>
      <c r="B3" t="s">
        <v>5</v>
      </c>
    </row>
    <row r="4" spans="1:2" x14ac:dyDescent="0.25">
      <c r="A4" t="str">
        <f>IF('OSD Tool'!F23&gt;2895,"","Back Of Kerb")</f>
        <v>Back Of Kerb</v>
      </c>
      <c r="B4" t="s">
        <v>6</v>
      </c>
    </row>
    <row r="6" spans="1:2" x14ac:dyDescent="0.25">
      <c r="A6" t="s">
        <v>49</v>
      </c>
    </row>
    <row r="7" spans="1:2" x14ac:dyDescent="0.25">
      <c r="A7" t="s">
        <v>50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>
    <row r="1" spans="1:1" x14ac:dyDescent="0.25">
      <c r="A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OSD Tool</vt:lpstr>
      <vt:lpstr>DischargeLocation</vt:lpstr>
      <vt:lpstr>FilterCartridges</vt:lpstr>
      <vt:lpstr>OSDLocation</vt:lpstr>
      <vt:lpstr>SavedProjects</vt:lpstr>
    </vt:vector>
  </TitlesOfParts>
  <Company>Blacktown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Andrew - payrollNumber</dc:creator>
  <cp:lastModifiedBy>Rajlaxmi Kshirsagar</cp:lastModifiedBy>
  <cp:lastPrinted>2017-02-09T05:35:46Z</cp:lastPrinted>
  <dcterms:created xsi:type="dcterms:W3CDTF">2017-02-07T23:02:46Z</dcterms:created>
  <dcterms:modified xsi:type="dcterms:W3CDTF">2023-11-29T23:31:12Z</dcterms:modified>
</cp:coreProperties>
</file>